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erylshunlin/Downloads/"/>
    </mc:Choice>
  </mc:AlternateContent>
  <xr:revisionPtr revIDLastSave="0" documentId="13_ncr:1_{7330BD2A-9554-FB43-BF3F-1B73359A8CC5}" xr6:coauthVersionLast="47" xr6:coauthVersionMax="47" xr10:uidLastSave="{00000000-0000-0000-0000-000000000000}"/>
  <bookViews>
    <workbookView xWindow="0" yWindow="500" windowWidth="21780" windowHeight="20040" activeTab="2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3" l="1"/>
  <c r="E81" i="3"/>
  <c r="D83" i="3"/>
  <c r="E83" i="3"/>
  <c r="D82" i="3"/>
  <c r="E82" i="3"/>
  <c r="C83" i="3"/>
  <c r="C82" i="3"/>
  <c r="C81" i="3"/>
  <c r="D78" i="3"/>
  <c r="E78" i="3"/>
  <c r="D77" i="3"/>
  <c r="E77" i="3"/>
  <c r="C78" i="3"/>
  <c r="C77" i="3"/>
  <c r="D76" i="3"/>
  <c r="E76" i="3"/>
  <c r="D75" i="3"/>
  <c r="E75" i="3"/>
  <c r="C76" i="3"/>
  <c r="D73" i="3"/>
  <c r="E73" i="3"/>
  <c r="D72" i="3"/>
  <c r="E72" i="3"/>
  <c r="C72" i="3"/>
  <c r="C73" i="3"/>
  <c r="C75" i="3"/>
  <c r="D68" i="3"/>
  <c r="D67" i="3"/>
  <c r="D66" i="3"/>
  <c r="D64" i="3"/>
  <c r="D63" i="3"/>
  <c r="D61" i="3"/>
  <c r="D60" i="3"/>
  <c r="C68" i="3"/>
  <c r="C67" i="3"/>
  <c r="C66" i="3"/>
  <c r="C64" i="3"/>
  <c r="C63" i="3"/>
  <c r="C61" i="3"/>
  <c r="C60" i="3"/>
  <c r="D59" i="3"/>
  <c r="D58" i="3"/>
  <c r="C58" i="3"/>
  <c r="C59" i="3"/>
  <c r="D51" i="3"/>
  <c r="E51" i="3"/>
  <c r="D49" i="3"/>
  <c r="E49" i="3"/>
  <c r="D47" i="3"/>
  <c r="E47" i="3"/>
  <c r="D46" i="3"/>
  <c r="E46" i="3"/>
  <c r="D44" i="3"/>
  <c r="E44" i="3"/>
  <c r="D43" i="3"/>
  <c r="E43" i="3"/>
  <c r="D42" i="3"/>
  <c r="E42" i="3"/>
  <c r="D41" i="3"/>
  <c r="E41" i="3"/>
  <c r="D40" i="3"/>
  <c r="E40" i="3"/>
  <c r="D37" i="3"/>
  <c r="E37" i="3"/>
  <c r="D36" i="3"/>
  <c r="E36" i="3"/>
  <c r="D35" i="3"/>
  <c r="E35" i="3"/>
  <c r="D34" i="3"/>
  <c r="E34" i="3"/>
  <c r="D31" i="3"/>
  <c r="E31" i="3"/>
  <c r="D30" i="3"/>
  <c r="E30" i="3"/>
  <c r="D27" i="3"/>
  <c r="E27" i="3"/>
  <c r="D26" i="3"/>
  <c r="E26" i="3"/>
  <c r="D25" i="3"/>
  <c r="E25" i="3"/>
  <c r="C51" i="3"/>
  <c r="C49" i="3"/>
  <c r="C47" i="3"/>
  <c r="C46" i="3"/>
  <c r="C44" i="3"/>
  <c r="C43" i="3"/>
  <c r="C41" i="3"/>
  <c r="C42" i="3"/>
  <c r="C40" i="3"/>
  <c r="C37" i="3"/>
  <c r="C34" i="3"/>
  <c r="C36" i="3"/>
  <c r="C35" i="3"/>
  <c r="C30" i="3"/>
  <c r="C31" i="3"/>
  <c r="C27" i="3"/>
  <c r="C26" i="3"/>
  <c r="C25" i="3"/>
  <c r="D22" i="3"/>
  <c r="E22" i="3"/>
  <c r="D21" i="3"/>
  <c r="D20" i="3" s="1"/>
  <c r="E21" i="3"/>
  <c r="E29" i="3" s="1"/>
  <c r="D19" i="3"/>
  <c r="D18" i="3" s="1"/>
  <c r="E19" i="3"/>
  <c r="E18" i="3" s="1"/>
  <c r="D17" i="3"/>
  <c r="E17" i="3"/>
  <c r="C22" i="3"/>
  <c r="C21" i="3"/>
  <c r="C29" i="3" s="1"/>
  <c r="C19" i="3"/>
  <c r="C18" i="3" s="1"/>
  <c r="C17" i="3"/>
  <c r="D13" i="3"/>
  <c r="E13" i="3"/>
  <c r="D11" i="3"/>
  <c r="E11" i="3"/>
  <c r="D10" i="3"/>
  <c r="E10" i="3"/>
  <c r="D9" i="3"/>
  <c r="E9" i="3"/>
  <c r="D8" i="3"/>
  <c r="E8" i="3"/>
  <c r="D7" i="3"/>
  <c r="E7" i="3"/>
  <c r="D6" i="3"/>
  <c r="E6" i="3"/>
  <c r="D5" i="3"/>
  <c r="E5" i="3"/>
  <c r="C13" i="3"/>
  <c r="C11" i="3"/>
  <c r="C10" i="3"/>
  <c r="C9" i="3"/>
  <c r="C8" i="3"/>
  <c r="C7" i="3"/>
  <c r="C5" i="3"/>
  <c r="C6" i="3"/>
  <c r="E20" i="3" l="1"/>
  <c r="D12" i="3"/>
  <c r="C28" i="3"/>
  <c r="C50" i="3"/>
  <c r="D48" i="3"/>
  <c r="C12" i="3"/>
  <c r="E12" i="3"/>
  <c r="C48" i="3"/>
  <c r="E48" i="3"/>
  <c r="C20" i="3"/>
  <c r="D28" i="3"/>
  <c r="E28" i="3"/>
  <c r="E50" i="3"/>
  <c r="D29" i="3"/>
  <c r="D50" i="3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C56" i="1"/>
  <c r="C62" i="1" s="1"/>
  <c r="B56" i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B8" i="1"/>
  <c r="E3" i="3"/>
  <c r="D3" i="3"/>
  <c r="C3" i="3"/>
  <c r="D33" i="1"/>
  <c r="D73" i="1" s="1"/>
  <c r="C33" i="1"/>
  <c r="C73" i="1" s="1"/>
  <c r="B33" i="1"/>
  <c r="B73" i="1" s="1"/>
  <c r="B13" i="1" l="1"/>
  <c r="B18" i="1" s="1"/>
  <c r="B20" i="1" s="1"/>
  <c r="B22" i="1" s="1"/>
  <c r="B76" i="1" s="1"/>
  <c r="B91" i="1" s="1"/>
  <c r="B109" i="1" s="1"/>
  <c r="C13" i="1"/>
  <c r="C18" i="1" s="1"/>
  <c r="C20" i="1" s="1"/>
  <c r="C22" i="1" s="1"/>
  <c r="C76" i="1" s="1"/>
  <c r="C91" i="1" s="1"/>
  <c r="C109" i="1" s="1"/>
  <c r="B62" i="1"/>
  <c r="C48" i="1"/>
  <c r="D62" i="1"/>
  <c r="D69" i="1" s="1"/>
  <c r="C69" i="1"/>
  <c r="D48" i="1"/>
  <c r="B69" i="1"/>
  <c r="A47" i="3"/>
  <c r="A49" i="3" s="1"/>
  <c r="A16" i="3"/>
  <c r="A17" i="3" s="1"/>
  <c r="A18" i="3" s="1"/>
  <c r="A20" i="3" s="1"/>
  <c r="A22" i="3" s="1"/>
  <c r="A5" i="3"/>
  <c r="A6" i="3" s="1"/>
  <c r="A7" i="3" s="1"/>
  <c r="A8" i="3" s="1"/>
  <c r="A9" i="3" s="1"/>
  <c r="A10" i="3" s="1"/>
  <c r="A11" i="3" s="1"/>
  <c r="A12" i="3" s="1"/>
  <c r="A13" i="3" s="1"/>
  <c r="A24" i="3" l="1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 l="1"/>
  <c r="A35" i="3" s="1"/>
  <c r="A36" i="3" s="1"/>
  <c r="A37" i="3" s="1"/>
</calcChain>
</file>

<file path=xl/sharedStrings.xml><?xml version="1.0" encoding="utf-8"?>
<sst xmlns="http://schemas.openxmlformats.org/spreadsheetml/2006/main" count="200" uniqueCount="160">
  <si>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</si>
  <si>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</si>
  <si>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</si>
  <si>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</si>
  <si>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</si>
  <si>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</si>
  <si>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</si>
  <si>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</si>
  <si>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</si>
  <si>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</si>
  <si>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</si>
  <si>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</si>
  <si>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</si>
  <si>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</si>
  <si>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</si>
  <si>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</si>
  <si>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</si>
  <si>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</si>
  <si>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</si>
  <si>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</si>
  <si>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</si>
  <si>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</si>
  <si>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</si>
  <si>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</si>
  <si>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</si>
  <si>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</si>
  <si>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</si>
  <si>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</si>
  <si>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</si>
  <si>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</si>
  <si>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</si>
  <si>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</si>
  <si>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</si>
  <si>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</si>
  <si>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</si>
  <si>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</si>
  <si>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</si>
  <si>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</si>
  <si>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</si>
  <si>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</si>
  <si>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</si>
  <si>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</si>
  <si>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</si>
  <si>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</si>
  <si>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</si>
  <si>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</si>
  <si>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</si>
  <si>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</si>
  <si>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</si>
  <si>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</si>
  <si>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</si>
  <si>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</si>
  <si>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</si>
  <si>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</si>
  <si>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</si>
  <si>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</si>
  <si>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</si>
  <si>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</si>
  <si>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</si>
  <si>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</si>
  <si>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</si>
  <si>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</si>
  <si>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</si>
  <si>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</si>
  <si>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</si>
  <si>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</si>
  <si>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</si>
  <si>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</si>
  <si>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</si>
  <si>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</si>
  <si>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</si>
  <si>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</si>
  <si>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</si>
  <si>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</si>
  <si>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</si>
  <si>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</si>
  <si>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</si>
  <si>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</si>
  <si>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</si>
  <si>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</si>
  <si>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</si>
  <si>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</si>
  <si>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</si>
  <si>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</si>
  <si>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</si>
  <si>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</si>
  <si>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</si>
  <si>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</si>
  <si>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</si>
  <si>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</si>
  <si>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</si>
  <si>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</si>
  <si>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</si>
  <si>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</si>
  <si>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</si>
  <si>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</si>
  <si>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</si>
  <si>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</si>
  <si>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</si>
  <si>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</si>
  <si>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</si>
  <si>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</si>
  <si>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</si>
  <si>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</si>
  <si>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</si>
  <si>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</si>
  <si>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</si>
  <si>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</si>
  <si>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</si>
  <si>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</si>
  <si>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</si>
  <si>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</si>
  <si>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</si>
  <si>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</si>
  <si>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</si>
  <si>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</si>
  <si>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</si>
  <si>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</si>
  <si>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</si>
  <si>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</si>
  <si>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</si>
  <si>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</si>
  <si>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</si>
  <si>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</si>
  <si>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</si>
  <si>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</si>
  <si>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</si>
  <si>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</si>
  <si>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</si>
  <si>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</si>
  <si>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</si>
  <si>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</si>
  <si>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</si>
  <si>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</si>
  <si>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</si>
  <si>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</si>
  <si>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</si>
  <si>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</si>
  <si>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</si>
  <si>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</si>
  <si>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</si>
  <si>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</si>
  <si>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</si>
  <si>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</si>
  <si>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</si>
  <si>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</si>
  <si>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</si>
  <si>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</si>
  <si>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</si>
  <si>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</si>
  <si>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2021-2022</t>
  </si>
  <si>
    <t>2020-2021</t>
  </si>
  <si>
    <t>Product Sales</t>
  </si>
  <si>
    <t>Service Sales</t>
  </si>
  <si>
    <t>Total Net sales</t>
  </si>
  <si>
    <t>R&amp;D</t>
  </si>
  <si>
    <t>SG&amp;A</t>
  </si>
  <si>
    <t>Total Assets</t>
  </si>
  <si>
    <t>Total Liabiliies</t>
  </si>
  <si>
    <t xml:space="preserve">Shareholders' Equity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</si>
</sst>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43" fontId="0" fillId="0" borderId="0" xfId="0" applyNumberFormat="1"/>
    <xf numFmtId="0" fontId="8" fillId="0" borderId="0" xfId="0" applyFont="1" applyAlignment="1">
      <alignment horizontal="left" indent="2"/>
    </xf>
    <xf numFmtId="0" fontId="2" fillId="0" borderId="0" xfId="0" applyFont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topLeftCell="A13" zoomScale="150" workbookViewId="0">
      <selection activeCell="A20" sqref="A20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x14ac:dyDescent="0.2">
      <c r="A9" s="1" t="s">
        <v>145</v>
      </c>
    </row>
    <row r="10" spans="1:1" x14ac:dyDescent="0.2">
      <c r="A10" s="1" t="s">
        <v>89</v>
      </c>
    </row>
    <row r="11" spans="1:1" x14ac:dyDescent="0.2">
      <c r="A11" s="1" t="s">
        <v>90</v>
      </c>
    </row>
    <row r="12" spans="1:1" x14ac:dyDescent="0.2">
      <c r="A12" s="1" t="s">
        <v>91</v>
      </c>
    </row>
    <row r="13" spans="1:1" x14ac:dyDescent="0.2">
      <c r="A13" s="1"/>
    </row>
    <row r="14" spans="1:1" x14ac:dyDescent="0.2">
      <c r="A14" s="17" t="s">
        <v>92</v>
      </c>
    </row>
    <row r="15" spans="1:1" x14ac:dyDescent="0.2">
      <c r="A15" s="1" t="s">
        <v>146</v>
      </c>
    </row>
    <row r="16" spans="1:1" x14ac:dyDescent="0.2">
      <c r="A16" s="1" t="s">
        <v>89</v>
      </c>
    </row>
    <row r="17" spans="1:1" x14ac:dyDescent="0.2">
      <c r="A17" s="1" t="s">
        <v>90</v>
      </c>
    </row>
    <row r="18" spans="1:1" x14ac:dyDescent="0.2">
      <c r="A18" s="1" t="s">
        <v>14</v>
      </c>
    </row>
    <row r="19" spans="1:1" x14ac:dyDescent="0.2">
      <c r="A19" s="1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opLeftCell="A25" zoomScale="140" zoomScaleNormal="140" workbookViewId="0">
      <selection activeCell="B45" sqref="B45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4" t="s">
        <v>1</v>
      </c>
      <c r="B2" s="24"/>
      <c r="C2" s="24"/>
      <c r="D2" s="24"/>
    </row>
    <row r="3" spans="1:10" x14ac:dyDescent="0.2">
      <c r="B3" s="23" t="s">
        <v>23</v>
      </c>
      <c r="C3" s="23"/>
      <c r="D3" s="23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  <c r="F11" s="25"/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4" ht="16" thickBot="1" x14ac:dyDescent="0.25">
      <c r="A22" s="9" t="s">
        <v>18</v>
      </c>
      <c r="B22" s="14">
        <f>+B20-B21</f>
        <v>99803</v>
      </c>
      <c r="C22" s="14">
        <f t="shared" ref="C22:D22" si="7">+C20-C21</f>
        <v>94680</v>
      </c>
      <c r="D22" s="14">
        <f t="shared" si="7"/>
        <v>57411</v>
      </c>
    </row>
    <row r="23" spans="1:4" ht="16" thickTop="1" x14ac:dyDescent="0.2">
      <c r="A23" t="s">
        <v>19</v>
      </c>
    </row>
    <row r="24" spans="1:4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2">
      <c r="A26" t="s">
        <v>22</v>
      </c>
    </row>
    <row r="27" spans="1:4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4" x14ac:dyDescent="0.2">
      <c r="A31" s="24" t="s">
        <v>24</v>
      </c>
      <c r="B31" s="24"/>
      <c r="C31" s="24"/>
      <c r="D31" s="24"/>
    </row>
    <row r="32" spans="1:4" x14ac:dyDescent="0.2">
      <c r="B32" s="23" t="s">
        <v>142</v>
      </c>
      <c r="C32" s="23"/>
      <c r="D32" s="23"/>
    </row>
    <row r="33" spans="1:4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4" x14ac:dyDescent="0.2">
      <c r="A35" t="s">
        <v>25</v>
      </c>
    </row>
    <row r="36" spans="1:4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4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4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4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4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4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4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4" x14ac:dyDescent="0.2">
      <c r="A43" t="s">
        <v>48</v>
      </c>
      <c r="B43" s="12"/>
      <c r="C43" s="12"/>
      <c r="D43" s="12"/>
    </row>
    <row r="44" spans="1:4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4" x14ac:dyDescent="0.2">
      <c r="A45" s="1" t="s">
        <v>32</v>
      </c>
      <c r="B45" s="12">
        <v>42117</v>
      </c>
      <c r="C45" s="12">
        <v>39440</v>
      </c>
      <c r="D45" s="12">
        <v>36766</v>
      </c>
    </row>
    <row r="46" spans="1:4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4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4" ht="16" thickBot="1" x14ac:dyDescent="0.25">
      <c r="A48" s="9" t="s">
        <v>33</v>
      </c>
      <c r="B48" s="14">
        <f>+B42+B47</f>
        <v>352755</v>
      </c>
      <c r="C48" s="14">
        <f t="shared" ref="C48:D48" si="11">+C42+C47</f>
        <v>351002</v>
      </c>
      <c r="D48" s="14">
        <f t="shared" si="11"/>
        <v>323888</v>
      </c>
    </row>
    <row r="49" spans="1:4" ht="16" thickTop="1" x14ac:dyDescent="0.2"/>
    <row r="50" spans="1:4" x14ac:dyDescent="0.2">
      <c r="A50" t="s">
        <v>34</v>
      </c>
    </row>
    <row r="51" spans="1:4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4" x14ac:dyDescent="0.2">
      <c r="A57" t="s">
        <v>51</v>
      </c>
      <c r="B57" s="12"/>
      <c r="C57" s="12"/>
      <c r="D57" s="12"/>
    </row>
    <row r="58" spans="1:4" x14ac:dyDescent="0.2">
      <c r="A58" s="1" t="s">
        <v>37</v>
      </c>
      <c r="B58" s="12"/>
      <c r="C58" s="12"/>
      <c r="D58" s="12"/>
    </row>
    <row r="59" spans="1:4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</row>
    <row r="62" spans="1:4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4" x14ac:dyDescent="0.2">
      <c r="B63" s="12"/>
      <c r="C63" s="12"/>
      <c r="D63" s="12"/>
    </row>
    <row r="64" spans="1:4" x14ac:dyDescent="0.2">
      <c r="A64" t="s">
        <v>42</v>
      </c>
      <c r="B64" s="12"/>
      <c r="C64" s="12"/>
      <c r="D64" s="12"/>
    </row>
    <row r="65" spans="1:4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</row>
    <row r="69" spans="1:4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</row>
    <row r="70" spans="1:4" ht="16" thickTop="1" x14ac:dyDescent="0.2"/>
    <row r="71" spans="1:4" x14ac:dyDescent="0.2">
      <c r="A71" s="24" t="s">
        <v>55</v>
      </c>
      <c r="B71" s="24"/>
      <c r="C71" s="24"/>
      <c r="D71" s="24"/>
    </row>
    <row r="72" spans="1:4" x14ac:dyDescent="0.2">
      <c r="B72" s="23" t="s">
        <v>23</v>
      </c>
      <c r="C72" s="23"/>
      <c r="D72" s="23"/>
    </row>
    <row r="73" spans="1:4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4" x14ac:dyDescent="0.2">
      <c r="A75" s="7" t="s">
        <v>56</v>
      </c>
      <c r="B75" s="15"/>
      <c r="C75" s="15"/>
      <c r="D75" s="15"/>
    </row>
    <row r="76" spans="1:4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4" x14ac:dyDescent="0.2">
      <c r="A77" s="11" t="s">
        <v>18</v>
      </c>
      <c r="B77" s="15"/>
      <c r="C77" s="15"/>
      <c r="D77" s="15"/>
    </row>
    <row r="78" spans="1:4" x14ac:dyDescent="0.2">
      <c r="A78" s="1" t="s">
        <v>58</v>
      </c>
      <c r="B78" s="12"/>
      <c r="C78" s="12"/>
      <c r="D78" s="12"/>
    </row>
    <row r="79" spans="1:4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3"/>
  <sheetViews>
    <sheetView tabSelected="1" topLeftCell="A55" zoomScale="160" zoomScaleNormal="160" workbookViewId="0">
      <selection activeCell="B54" sqref="B54"/>
    </sheetView>
  </sheetViews>
  <sheetFormatPr baseColWidth="10" defaultColWidth="8.83203125" defaultRowHeight="15" x14ac:dyDescent="0.2"/>
  <cols>
    <col min="1" max="1" width="4.6640625" customWidth="1"/>
    <col min="2" max="2" width="71.33203125" customWidth="1"/>
    <col min="3" max="5" width="12.6640625" bestFit="1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3" t="s">
        <v>23</v>
      </c>
      <c r="D2" s="23"/>
      <c r="E2" s="23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</row>
    <row r="4" spans="1:10" x14ac:dyDescent="0.2">
      <c r="A4" s="18">
        <v>1</v>
      </c>
      <c r="B4" s="7" t="s">
        <v>99</v>
      </c>
    </row>
    <row r="5" spans="1:10" x14ac:dyDescent="0.2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</row>
    <row r="6" spans="1:10" x14ac:dyDescent="0.2">
      <c r="A6" s="18">
        <f t="shared" ref="A6:A13" si="0">+A5+0.1</f>
        <v>1.2000000000000002</v>
      </c>
      <c r="B6" s="1" t="s">
        <v>101</v>
      </c>
      <c r="C6">
        <f>('Financial Statements'!B42-'Financial Statements'!B39)/'Financial Statements'!B56</f>
        <v>0.84723539114961488</v>
      </c>
      <c r="D6">
        <f>('Financial Statements'!C42-'Financial Statements'!C39)/'Financial Statements'!C56</f>
        <v>1.0221149018576519</v>
      </c>
      <c r="E6">
        <f>('Financial Statements'!D42-'Financial Statements'!D39)/'Financial Statements'!D56</f>
        <v>1.325072111735236</v>
      </c>
    </row>
    <row r="7" spans="1:10" x14ac:dyDescent="0.2">
      <c r="A7" s="18">
        <f t="shared" si="0"/>
        <v>1.3000000000000003</v>
      </c>
      <c r="B7" s="1" t="s">
        <v>102</v>
      </c>
      <c r="C7">
        <f>('Financial Statements'!B36+'Financial Statements'!B37)/'Financial Statements'!B56</f>
        <v>0.31369900377966253</v>
      </c>
      <c r="D7">
        <f>('Financial Statements'!C36+'Financial Statements'!C37)/'Financial Statements'!C56</f>
        <v>0.49919111259872012</v>
      </c>
      <c r="E7">
        <f>('Financial Statements'!D36+'Financial Statements'!D37)/'Financial Statements'!D56</f>
        <v>0.86290230757552755</v>
      </c>
    </row>
    <row r="8" spans="1:10" x14ac:dyDescent="0.2">
      <c r="A8" s="18">
        <f t="shared" si="0"/>
        <v>1.4000000000000004</v>
      </c>
      <c r="B8" s="1" t="s">
        <v>103</v>
      </c>
      <c r="C8">
        <f>('Financial Statements'!B36+'Financial Statements'!B37+'Financial Statements'!B38)/(('Financial Statements'!B12+'Financial Statements'!B17)/365)</f>
        <v>101.56069132856295</v>
      </c>
      <c r="D8">
        <f>('Financial Statements'!C36+'Financial Statements'!C37+'Financial Statements'!C38)/(('Financial Statements'!C12+'Financial Statements'!C17)/365)</f>
        <v>126.34779341918806</v>
      </c>
      <c r="E8">
        <f>('Financial Statements'!D36+'Financial Statements'!D37+'Financial Statements'!D38)/(('Financial Statements'!D12+'Financial Statements'!D17)/365)</f>
        <v>187.67016285111922</v>
      </c>
    </row>
    <row r="9" spans="1:10" x14ac:dyDescent="0.2">
      <c r="A9" s="18">
        <f t="shared" si="0"/>
        <v>1.5000000000000004</v>
      </c>
      <c r="B9" s="1" t="s">
        <v>104</v>
      </c>
      <c r="C9" s="25">
        <f>'Financial Statements'!B39/'Financial Statements'!B12*365</f>
        <v>8.0756980666171607</v>
      </c>
      <c r="D9" s="25">
        <f>'Financial Statements'!C39/'Financial Statements'!C12*365</f>
        <v>11.27659274770989</v>
      </c>
      <c r="E9" s="25">
        <f>'Financial Statements'!D39/'Financial Statements'!D12*365</f>
        <v>8.7418833562358831</v>
      </c>
    </row>
    <row r="10" spans="1:10" x14ac:dyDescent="0.2">
      <c r="A10" s="18">
        <f t="shared" si="0"/>
        <v>1.6000000000000005</v>
      </c>
      <c r="B10" s="1" t="s">
        <v>105</v>
      </c>
      <c r="C10">
        <f>'Financial Statements'!B51/'Financial Statements'!B12*365</f>
        <v>104.68527730310539</v>
      </c>
      <c r="D10">
        <f>'Financial Statements'!C51/'Financial Statements'!C12*365</f>
        <v>93.851071222315596</v>
      </c>
      <c r="E10">
        <f>'Financial Statements'!D51/'Financial Statements'!D12*365</f>
        <v>91.048189715674198</v>
      </c>
    </row>
    <row r="11" spans="1:10" x14ac:dyDescent="0.2">
      <c r="A11" s="18">
        <f t="shared" si="0"/>
        <v>1.7000000000000006</v>
      </c>
      <c r="B11" s="1" t="s">
        <v>106</v>
      </c>
      <c r="C11">
        <f>'Financial Statements'!B38/'Financial Statements'!B8*365</f>
        <v>26.087825363656648</v>
      </c>
      <c r="D11">
        <f>'Financial Statements'!C38/'Financial Statements'!C8*365</f>
        <v>26.219311841713207</v>
      </c>
      <c r="E11">
        <f>'Financial Statements'!D38/'Financial Statements'!D8*365</f>
        <v>21.433437152796749</v>
      </c>
    </row>
    <row r="12" spans="1:10" x14ac:dyDescent="0.2">
      <c r="A12" s="18">
        <f t="shared" si="0"/>
        <v>1.8000000000000007</v>
      </c>
      <c r="B12" s="1" t="s">
        <v>107</v>
      </c>
      <c r="C12" s="25">
        <f>C11+C9-C10</f>
        <v>-70.521753872831582</v>
      </c>
      <c r="D12" s="25">
        <f t="shared" ref="D12:E12" si="1">D11+D9-D10</f>
        <v>-56.355166632892498</v>
      </c>
      <c r="E12" s="25">
        <f t="shared" si="1"/>
        <v>-60.872869206641568</v>
      </c>
    </row>
    <row r="13" spans="1:10" x14ac:dyDescent="0.2">
      <c r="A13" s="18">
        <f t="shared" si="0"/>
        <v>1.9000000000000008</v>
      </c>
      <c r="B13" s="1" t="s">
        <v>108</v>
      </c>
      <c r="C13">
        <f>('Financial Statements'!B42-'Financial Statements'!B56)/'Financial Statements'!B8*100</f>
        <v>-4.7110527276784806</v>
      </c>
      <c r="D13">
        <f>('Financial Statements'!C42-'Financial Statements'!C56)/'Financial Statements'!C8*100</f>
        <v>2.5572895737486232</v>
      </c>
      <c r="E13">
        <f>('Financial Statements'!D42-'Financial Statements'!D56)/'Financial Statements'!D8*100</f>
        <v>13.959528623208204</v>
      </c>
    </row>
    <row r="14" spans="1:10" x14ac:dyDescent="0.2">
      <c r="A14" s="18"/>
      <c r="B14" s="3" t="s">
        <v>109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5" x14ac:dyDescent="0.2">
      <c r="A17" s="18">
        <f>+A16+0.1</f>
        <v>2.1</v>
      </c>
      <c r="B17" s="1" t="s">
        <v>9</v>
      </c>
      <c r="C17">
        <f>'Financial Statements'!B13/'Financial Statements'!B8*100</f>
        <v>43.309630561360088</v>
      </c>
      <c r="D17">
        <f>'Financial Statements'!C13/'Financial Statements'!C8*100</f>
        <v>41.779359625167778</v>
      </c>
      <c r="E17">
        <f>'Financial Statements'!D13/'Financial Statements'!D8*100</f>
        <v>38.233247727810863</v>
      </c>
    </row>
    <row r="18" spans="1:5" x14ac:dyDescent="0.2">
      <c r="A18" s="18">
        <f>+A17+0.1</f>
        <v>2.2000000000000002</v>
      </c>
      <c r="B18" s="1" t="s">
        <v>111</v>
      </c>
      <c r="C18">
        <f>C19/'Financial Statements'!B8*100</f>
        <v>33.104674281308959</v>
      </c>
      <c r="D18">
        <f>D19/'Financial Statements'!C8*100</f>
        <v>32.86697993805646</v>
      </c>
      <c r="E18">
        <f>E19/'Financial Statements'!D8*100</f>
        <v>28.174780977360069</v>
      </c>
    </row>
    <row r="19" spans="1:5" x14ac:dyDescent="0.2">
      <c r="A19" s="18"/>
      <c r="B19" s="3" t="s">
        <v>112</v>
      </c>
      <c r="C19">
        <f>'Financial Statements'!B18+'Financial Statements'!B79</f>
        <v>130541</v>
      </c>
      <c r="D19">
        <f>'Financial Statements'!C18+'Financial Statements'!C79</f>
        <v>120233</v>
      </c>
      <c r="E19">
        <f>'Financial Statements'!D18+'Financial Statements'!D79</f>
        <v>77344</v>
      </c>
    </row>
    <row r="20" spans="1:5" x14ac:dyDescent="0.2">
      <c r="A20" s="18">
        <f>+A18+0.1</f>
        <v>2.3000000000000003</v>
      </c>
      <c r="B20" s="1" t="s">
        <v>113</v>
      </c>
      <c r="C20">
        <f>C21/'Financial Statements'!B8*100</f>
        <v>30.288744395528592</v>
      </c>
      <c r="D20">
        <f>D21/'Financial Statements'!C8*100</f>
        <v>29.782377527561593</v>
      </c>
      <c r="E20">
        <f>E21/'Financial Statements'!D8*100</f>
        <v>24.147314354406863</v>
      </c>
    </row>
    <row r="21" spans="1:5" x14ac:dyDescent="0.2">
      <c r="A21" s="18"/>
      <c r="B21" s="3" t="s">
        <v>114</v>
      </c>
      <c r="C21">
        <f>'Financial Statements'!B18</f>
        <v>119437</v>
      </c>
      <c r="D21">
        <f>'Financial Statements'!C18</f>
        <v>108949</v>
      </c>
      <c r="E21">
        <f>'Financial Statements'!D18</f>
        <v>66288</v>
      </c>
    </row>
    <row r="22" spans="1:5" x14ac:dyDescent="0.2">
      <c r="A22" s="18">
        <f>+A20+0.1</f>
        <v>2.4000000000000004</v>
      </c>
      <c r="B22" s="1" t="s">
        <v>115</v>
      </c>
      <c r="C22">
        <f>'Financial Statements'!B22/'Financial Statements'!B8*100</f>
        <v>25.309640705199733</v>
      </c>
      <c r="D22">
        <f>'Financial Statements'!C22/'Financial Statements'!C8*100</f>
        <v>25.881793355694239</v>
      </c>
      <c r="E22">
        <f>'Financial Statements'!D22/'Financial Statements'!D8*100</f>
        <v>20.913611278072235</v>
      </c>
    </row>
    <row r="23" spans="1:5" x14ac:dyDescent="0.2">
      <c r="A23" s="18"/>
    </row>
    <row r="24" spans="1:5" x14ac:dyDescent="0.2">
      <c r="A24" s="18">
        <f>+A16+1</f>
        <v>3</v>
      </c>
      <c r="B24" s="7" t="s">
        <v>116</v>
      </c>
    </row>
    <row r="25" spans="1:5" x14ac:dyDescent="0.2">
      <c r="A25" s="18">
        <f>+A24+0.1</f>
        <v>3.1</v>
      </c>
      <c r="B25" s="1" t="s">
        <v>117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</row>
    <row r="26" spans="1:5" x14ac:dyDescent="0.2">
      <c r="A26" s="18">
        <f t="shared" ref="A26:A30" si="2">+A25+0.1</f>
        <v>3.2</v>
      </c>
      <c r="B26" s="1" t="s">
        <v>118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</row>
    <row r="27" spans="1:5" x14ac:dyDescent="0.2">
      <c r="A27" s="18">
        <f t="shared" si="2"/>
        <v>3.3000000000000003</v>
      </c>
      <c r="B27" s="1" t="s">
        <v>119</v>
      </c>
      <c r="C27">
        <f>'Financial Statements'!B59/('Financial Statements'!B59+'Financial Statements'!B68)</f>
        <v>0.66135359651409131</v>
      </c>
      <c r="D27">
        <f>'Financial Statements'!C59/('Financial Statements'!C59+'Financial Statements'!C68)</f>
        <v>0.63361518269878514</v>
      </c>
      <c r="E27">
        <f>'Financial Statements'!D59/('Financial Statements'!D59+'Financial Statements'!D68)</f>
        <v>0.60160603880345842</v>
      </c>
    </row>
    <row r="28" spans="1:5" x14ac:dyDescent="0.2">
      <c r="A28" s="18">
        <f t="shared" si="2"/>
        <v>3.4000000000000004</v>
      </c>
      <c r="B28" s="1" t="s">
        <v>120</v>
      </c>
      <c r="C28">
        <f>'List of Ratios'!C21/'Financial Statements'!B114</f>
        <v>41.68830715532286</v>
      </c>
      <c r="D28">
        <f>'List of Ratios'!D21/'Financial Statements'!C114</f>
        <v>40.546706363974693</v>
      </c>
      <c r="E28">
        <f>'List of Ratios'!E21/'Financial Statements'!D114</f>
        <v>22.081279147235175</v>
      </c>
    </row>
    <row r="29" spans="1:5" x14ac:dyDescent="0.2">
      <c r="A29" s="18">
        <f t="shared" si="2"/>
        <v>3.5000000000000004</v>
      </c>
      <c r="B29" s="1" t="s">
        <v>121</v>
      </c>
      <c r="C29">
        <f>(C21+'Financial Statements'!B79)/'Financial Statements'!B62</f>
        <v>0.43213620097787692</v>
      </c>
      <c r="D29">
        <f>(D21+'Financial Statements'!C79)/'Financial Statements'!C62</f>
        <v>0.41760329545138791</v>
      </c>
      <c r="E29">
        <f>(E21+'Financial Statements'!D79)/'Financial Statements'!D62</f>
        <v>0.29914639004598742</v>
      </c>
    </row>
    <row r="30" spans="1:5" x14ac:dyDescent="0.2">
      <c r="A30" s="18">
        <f t="shared" si="2"/>
        <v>3.6000000000000005</v>
      </c>
      <c r="B30" s="1" t="s">
        <v>122</v>
      </c>
      <c r="C30">
        <f>'Financial Statements'!B91-'Financial Statements'!B96-('Financial Statements'!B104+'Financial Statements'!B105+'Financial Statements'!B106)</f>
        <v>132982</v>
      </c>
      <c r="D30">
        <f>'Financial Statements'!C91-'Financial Statements'!C96-('Financial Statements'!C104+'Financial Statements'!C105+'Financial Statements'!C106)</f>
        <v>102458</v>
      </c>
      <c r="E30">
        <f>'Financial Statements'!D91-'Financial Statements'!D96-('Financial Statements'!D104+'Financial Statements'!D105+'Financial Statements'!D106)</f>
        <v>85484</v>
      </c>
    </row>
    <row r="31" spans="1:5" x14ac:dyDescent="0.2">
      <c r="A31" s="18"/>
      <c r="B31" s="3" t="s">
        <v>123</v>
      </c>
      <c r="C31">
        <f>('Financial Statements'!B104+'Financial Statements'!B105+'Financial Statements'!B106)</f>
        <v>-123</v>
      </c>
      <c r="D31">
        <f>('Financial Statements'!C104+'Financial Statements'!C105+'Financial Statements'!C106)</f>
        <v>12665</v>
      </c>
      <c r="E31">
        <f>('Financial Statements'!D104+'Financial Statements'!D105+'Financial Statements'!D106)</f>
        <v>2499</v>
      </c>
    </row>
    <row r="32" spans="1:5" x14ac:dyDescent="0.2">
      <c r="A32" s="18"/>
    </row>
    <row r="33" spans="1:5" x14ac:dyDescent="0.2">
      <c r="A33" s="18">
        <f>+A24+1</f>
        <v>4</v>
      </c>
      <c r="B33" s="17" t="s">
        <v>124</v>
      </c>
    </row>
    <row r="34" spans="1:5" x14ac:dyDescent="0.2">
      <c r="A34" s="18">
        <f>+A33+0.1</f>
        <v>4.0999999999999996</v>
      </c>
      <c r="B34" s="1" t="s">
        <v>125</v>
      </c>
      <c r="C34">
        <f>'Financial Statements'!B8/(('Financial Statements'!B48+'Financial Statements'!C48)/2)</f>
        <v>1.1206368107173357</v>
      </c>
      <c r="D34">
        <f>'Financial Statements'!C8/(('Financial Statements'!C48+'Financial Statements'!D48)/2)</f>
        <v>1.084078886929722</v>
      </c>
      <c r="E34">
        <f>'Financial Statements'!D8/(('Financial Statements'!D48+'Financial Statements'!E48)/2)</f>
        <v>1.695123005483377</v>
      </c>
    </row>
    <row r="35" spans="1:5" x14ac:dyDescent="0.2">
      <c r="A35" s="18">
        <f t="shared" ref="A35:A37" si="3">+A34+0.1</f>
        <v>4.1999999999999993</v>
      </c>
      <c r="B35" s="1" t="s">
        <v>126</v>
      </c>
      <c r="C35">
        <f>'Financial Statements'!B8/(('Financial Statements'!B45+'Financial Statements'!C45)/2)</f>
        <v>9.6699976703409884</v>
      </c>
      <c r="D35">
        <f>'Financial Statements'!C8/(('Financial Statements'!C45+'Financial Statements'!D45)/2)</f>
        <v>9.6007400992047867</v>
      </c>
      <c r="E35">
        <f>'Financial Statements'!D8/(('Financial Statements'!D45+'Financial Statements'!E45)/2)</f>
        <v>14.933090355219496</v>
      </c>
    </row>
    <row r="36" spans="1:5" x14ac:dyDescent="0.2">
      <c r="A36" s="18">
        <f t="shared" si="3"/>
        <v>4.2999999999999989</v>
      </c>
      <c r="B36" s="1" t="s">
        <v>127</v>
      </c>
      <c r="C36">
        <f>'Financial Statements'!B12/(('Financial Statements'!B39+'Financial Statements'!C39)/2)</f>
        <v>38.789866389033492</v>
      </c>
      <c r="D36">
        <f>'Financial Statements'!C12/(('Financial Statements'!C39+'Financial Statements'!D39)/2)</f>
        <v>40.030260313880277</v>
      </c>
      <c r="E36">
        <f>'Financial Statements'!D12/(('Financial Statements'!D39+'Financial Statements'!E39)/2)</f>
        <v>83.506032996798822</v>
      </c>
    </row>
    <row r="37" spans="1:5" x14ac:dyDescent="0.2">
      <c r="A37" s="18">
        <f t="shared" si="3"/>
        <v>4.3999999999999986</v>
      </c>
      <c r="B37" s="1" t="s">
        <v>128</v>
      </c>
      <c r="C37">
        <f>'Financial Statements'!B22/(('Financial Statements'!B48+'Financial Statements'!C48)/2)</f>
        <v>0.28362915040276687</v>
      </c>
      <c r="D37">
        <f>'Financial Statements'!C22/(('Financial Statements'!C48+'Financial Statements'!D48)/2)</f>
        <v>0.28057905732786081</v>
      </c>
      <c r="E37">
        <f>'Financial Statements'!D22/(('Financial Statements'!D48+'Financial Statements'!E48)/2)</f>
        <v>0.35451143605196861</v>
      </c>
    </row>
    <row r="38" spans="1:5" x14ac:dyDescent="0.2">
      <c r="A38" s="18"/>
    </row>
    <row r="39" spans="1:5" x14ac:dyDescent="0.2">
      <c r="A39" s="18">
        <f>+A33+1</f>
        <v>5</v>
      </c>
      <c r="B39" s="17" t="s">
        <v>129</v>
      </c>
    </row>
    <row r="40" spans="1:5" x14ac:dyDescent="0.2">
      <c r="A40" s="18">
        <f>+A39+0.1</f>
        <v>5.0999999999999996</v>
      </c>
      <c r="B40" s="1" t="s">
        <v>130</v>
      </c>
      <c r="C40">
        <f>226.84/'Financial Statements'!B24</f>
        <v>36.884552845528454</v>
      </c>
      <c r="D40">
        <f>226.84/'Financial Statements'!C24</f>
        <v>40.007054673721342</v>
      </c>
      <c r="E40">
        <f>226.84/'Financial Statements'!D24</f>
        <v>68.531722054380666</v>
      </c>
    </row>
    <row r="41" spans="1:5" x14ac:dyDescent="0.2">
      <c r="A41" s="18">
        <f t="shared" ref="A41:A44" si="4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5" x14ac:dyDescent="0.2">
      <c r="A42" s="18">
        <f t="shared" si="4"/>
        <v>5.2999999999999989</v>
      </c>
      <c r="B42" s="1" t="s">
        <v>132</v>
      </c>
      <c r="C42">
        <f>'Financial Statements'!B68/'Financial Statements'!B27</f>
        <v>3.124822127430853E-3</v>
      </c>
      <c r="D42">
        <f>'Financial Statements'!C68/'Financial Statements'!C27</f>
        <v>3.7775565837141027E-3</v>
      </c>
      <c r="E42">
        <f>'Financial Statements'!D68/'Financial Statements'!D27</f>
        <v>3.7654767120949319E-3</v>
      </c>
    </row>
    <row r="43" spans="1:5" x14ac:dyDescent="0.2">
      <c r="A43" s="18">
        <f t="shared" si="4"/>
        <v>5.3999999999999986</v>
      </c>
      <c r="B43" s="3" t="s">
        <v>133</v>
      </c>
      <c r="C43">
        <f>'Financial Statements'!B68/'Financial Statements'!B27</f>
        <v>3.124822127430853E-3</v>
      </c>
      <c r="D43">
        <f>'Financial Statements'!C68/'Financial Statements'!C27</f>
        <v>3.7775565837141027E-3</v>
      </c>
      <c r="E43">
        <f>'Financial Statements'!D68/'Financial Statements'!D27</f>
        <v>3.7654767120949319E-3</v>
      </c>
    </row>
    <row r="44" spans="1:5" x14ac:dyDescent="0.2">
      <c r="A44" s="18">
        <f t="shared" si="4"/>
        <v>5.4999999999999982</v>
      </c>
      <c r="B44" s="1" t="s">
        <v>134</v>
      </c>
      <c r="C44">
        <f>'Financial Statements'!B24</f>
        <v>6.15</v>
      </c>
      <c r="D44">
        <f>'Financial Statements'!C24</f>
        <v>5.67</v>
      </c>
      <c r="E44">
        <f>'Financial Statements'!D24</f>
        <v>3.31</v>
      </c>
    </row>
    <row r="45" spans="1:5" x14ac:dyDescent="0.2">
      <c r="A45" s="18"/>
      <c r="B45" s="3" t="s">
        <v>135</v>
      </c>
      <c r="C45">
        <v>0.91</v>
      </c>
      <c r="D45">
        <v>0.86499999999999999</v>
      </c>
      <c r="E45">
        <v>0.80800000000000005</v>
      </c>
    </row>
    <row r="46" spans="1:5" x14ac:dyDescent="0.2">
      <c r="A46" s="18">
        <f>+A44+0.1</f>
        <v>5.5999999999999979</v>
      </c>
      <c r="B46" s="1" t="s">
        <v>136</v>
      </c>
      <c r="C46">
        <f>(C45/226.84)*100</f>
        <v>0.401163815905484</v>
      </c>
      <c r="D46">
        <f t="shared" ref="D46:E46" si="5">(D45/226.84)*100</f>
        <v>0.38132604478927878</v>
      </c>
      <c r="E46">
        <f t="shared" si="5"/>
        <v>0.35619820137541885</v>
      </c>
    </row>
    <row r="47" spans="1:5" x14ac:dyDescent="0.2">
      <c r="A47" s="18">
        <f t="shared" ref="A47:A50" si="6">+A45+0.1</f>
        <v>0.1</v>
      </c>
      <c r="B47" s="1" t="s">
        <v>137</v>
      </c>
      <c r="C47">
        <f>'Financial Statements'!B22/'Financial Statements'!B68*100</f>
        <v>196.95887275023682</v>
      </c>
      <c r="D47">
        <f>'Financial Statements'!C22/'Financial Statements'!C68*100</f>
        <v>150.07132667617688</v>
      </c>
      <c r="E47">
        <f>'Financial Statements'!D22/'Financial Statements'!D68*100</f>
        <v>87.866358530127485</v>
      </c>
    </row>
    <row r="48" spans="1:5" x14ac:dyDescent="0.2">
      <c r="A48" s="18">
        <f t="shared" si="6"/>
        <v>5.6999999999999975</v>
      </c>
      <c r="B48" s="1" t="s">
        <v>138</v>
      </c>
      <c r="C48">
        <f>C21/('Financial Statements'!B48-'Financial Statements'!B56)*100</f>
        <v>60.087134570590571</v>
      </c>
      <c r="D48">
        <f>D21/('Financial Statements'!C48-'Financial Statements'!C56)*100</f>
        <v>48.309913489209436</v>
      </c>
      <c r="E48">
        <f>E21/('Financial Statements'!D48-'Financial Statements'!D56)*100</f>
        <v>30.338312829525481</v>
      </c>
    </row>
    <row r="49" spans="1:5" x14ac:dyDescent="0.2">
      <c r="A49" s="18">
        <f t="shared" si="6"/>
        <v>0.2</v>
      </c>
      <c r="B49" s="1" t="s">
        <v>128</v>
      </c>
      <c r="C49">
        <f>'Financial Statements'!B22/'Financial Statements'!B48*100</f>
        <v>28.292440929256852</v>
      </c>
      <c r="D49">
        <f>'Financial Statements'!C22/'Financial Statements'!C48*100</f>
        <v>26.974205275183614</v>
      </c>
      <c r="E49">
        <f>'Financial Statements'!D22/'Financial Statements'!D48*100</f>
        <v>17.725571802598431</v>
      </c>
    </row>
    <row r="50" spans="1:5" x14ac:dyDescent="0.2">
      <c r="A50" s="18">
        <f t="shared" si="6"/>
        <v>5.7999999999999972</v>
      </c>
      <c r="B50" s="1" t="s">
        <v>139</v>
      </c>
      <c r="C50">
        <f>C51/C19</f>
        <v>28178.323369056467</v>
      </c>
      <c r="D50">
        <f t="shared" ref="D50:E50" si="7">D51/D19</f>
        <v>31509.628916187736</v>
      </c>
      <c r="E50">
        <f t="shared" si="7"/>
        <v>50891.218801199837</v>
      </c>
    </row>
    <row r="51" spans="1:5" x14ac:dyDescent="0.2">
      <c r="A51" s="18"/>
      <c r="B51" s="3" t="s">
        <v>140</v>
      </c>
      <c r="C51">
        <f>(226.84*'Financial Statements'!B27)+'Financial Statements'!B54+'Financial Statements'!B55-'Financial Statements'!B36</f>
        <v>3678426510.9200001</v>
      </c>
      <c r="D51">
        <f>(226.84*'Financial Statements'!C27)+'Financial Statements'!C54+'Financial Statements'!C55-'Financial Statements'!C36</f>
        <v>3788497213.48</v>
      </c>
      <c r="E51">
        <f>(226.84*'Financial Statements'!D27)+'Financial Statements'!D54+'Financial Statements'!D55-'Financial Statements'!D36</f>
        <v>3936130426.96</v>
      </c>
    </row>
    <row r="55" spans="1:5" x14ac:dyDescent="0.2">
      <c r="C55" s="27" t="s">
        <v>150</v>
      </c>
      <c r="D55" s="27" t="s">
        <v>151</v>
      </c>
    </row>
    <row r="56" spans="1:5" x14ac:dyDescent="0.2">
      <c r="B56" s="17" t="s">
        <v>149</v>
      </c>
    </row>
    <row r="57" spans="1:5" x14ac:dyDescent="0.2">
      <c r="B57" s="1" t="s">
        <v>145</v>
      </c>
    </row>
    <row r="58" spans="1:5" x14ac:dyDescent="0.2">
      <c r="B58" s="3" t="s">
        <v>152</v>
      </c>
      <c r="C58">
        <f>('Financial Statements'!B6-'Financial Statements'!C6)/'Financial Statements'!C6*100</f>
        <v>6.3239764351428418</v>
      </c>
      <c r="D58">
        <f>('Financial Statements'!C6-'Financial Statements'!D6)/'Financial Statements'!D6*100</f>
        <v>34.720743656765436</v>
      </c>
    </row>
    <row r="59" spans="1:5" x14ac:dyDescent="0.2">
      <c r="B59" s="3" t="s">
        <v>153</v>
      </c>
      <c r="C59">
        <f>('Financial Statements'!B7-'Financial Statements'!C7)/'Financial Statements'!C7</f>
        <v>0.14181951041286078</v>
      </c>
      <c r="D59">
        <f>('Financial Statements'!C7-'Financial Statements'!D7)/'Financial Statements'!D7*100</f>
        <v>27.259708376729652</v>
      </c>
    </row>
    <row r="60" spans="1:5" x14ac:dyDescent="0.2">
      <c r="B60" s="3" t="s">
        <v>154</v>
      </c>
      <c r="C60">
        <f>('Financial Statements'!B8-'Financial Statements'!C8)/'Financial Statements'!C8*100</f>
        <v>7.7937876041846055</v>
      </c>
      <c r="D60">
        <f>('Financial Statements'!C8-'Financial Statements'!D8)/'Financial Statements'!D8*100</f>
        <v>33.25938473307469</v>
      </c>
    </row>
    <row r="61" spans="1:5" x14ac:dyDescent="0.2">
      <c r="B61" s="1" t="s">
        <v>89</v>
      </c>
      <c r="C61">
        <f>('Financial Statements'!B13-'Financial Statements'!C13)/'Financial Statements'!C13*100</f>
        <v>11.741997958596142</v>
      </c>
      <c r="D61">
        <f>('Financial Statements'!C13-'Financial Statements'!D13)/'Financial Statements'!D13*100</f>
        <v>45.61911658218682</v>
      </c>
    </row>
    <row r="62" spans="1:5" x14ac:dyDescent="0.2">
      <c r="B62" s="1" t="s">
        <v>90</v>
      </c>
    </row>
    <row r="63" spans="1:5" x14ac:dyDescent="0.2">
      <c r="B63" s="3" t="s">
        <v>155</v>
      </c>
      <c r="C63">
        <f>('Financial Statements'!B15-'Financial Statements'!C15)/'Financial Statements'!C15*100</f>
        <v>19.791001186456146</v>
      </c>
      <c r="D63">
        <f>('Financial Statements'!C15-'Financial Statements'!D15)/'Financial Statements'!D15*100</f>
        <v>16.862201365187712</v>
      </c>
    </row>
    <row r="64" spans="1:5" x14ac:dyDescent="0.2">
      <c r="B64" s="3" t="s">
        <v>156</v>
      </c>
      <c r="C64">
        <f>('Financial Statements'!B16-'Financial Statements'!C16)/'Financial Statements'!C16*100</f>
        <v>14.203795567287125</v>
      </c>
      <c r="D64">
        <f>('Financial Statements'!C16-'Financial Statements'!D16)/'Financial Statements'!D16*100</f>
        <v>10.328379192608958</v>
      </c>
    </row>
    <row r="65" spans="2:5" x14ac:dyDescent="0.2">
      <c r="B65" s="1" t="s">
        <v>91</v>
      </c>
    </row>
    <row r="66" spans="2:5" x14ac:dyDescent="0.2">
      <c r="B66" s="3" t="s">
        <v>157</v>
      </c>
      <c r="C66">
        <f>('Financial Statements'!B48-'Financial Statements'!C48)/'Financial Statements'!C48*100</f>
        <v>0.49942735369029234</v>
      </c>
      <c r="D66">
        <f>('Financial Statements'!C48-'Financial Statements'!D48)/'Financial Statements'!D48*100</f>
        <v>8.3714123400681704</v>
      </c>
    </row>
    <row r="67" spans="2:5" x14ac:dyDescent="0.2">
      <c r="B67" s="3" t="s">
        <v>158</v>
      </c>
      <c r="C67">
        <f>('Financial Statements'!B62-'Financial Statements'!C62)/'Financial Statements'!C62*100</f>
        <v>4.9219900525160467</v>
      </c>
      <c r="D67">
        <f>('Financial Statements'!C62-'Financial Statements'!D62)/'Financial Statements'!D62*100</f>
        <v>11.356841449783213</v>
      </c>
    </row>
    <row r="68" spans="2:5" x14ac:dyDescent="0.2">
      <c r="B68" s="3" t="s">
        <v>159</v>
      </c>
      <c r="C68">
        <f>('Financial Statements'!B68-'Financial Statements'!C68)/'Financial Statements'!C68*100</f>
        <v>-19.682992550324933</v>
      </c>
      <c r="D68">
        <f>('Financial Statements'!C68-'Financial Statements'!D68)/'Financial Statements'!D68*100</f>
        <v>-3.4420483937617661</v>
      </c>
    </row>
    <row r="69" spans="2:5" x14ac:dyDescent="0.2">
      <c r="B69" s="1"/>
    </row>
    <row r="70" spans="2:5" x14ac:dyDescent="0.2">
      <c r="B70" s="1"/>
      <c r="C70" s="7">
        <v>2022</v>
      </c>
      <c r="D70" s="7">
        <v>2021</v>
      </c>
      <c r="E70" s="7">
        <v>2020</v>
      </c>
    </row>
    <row r="71" spans="2:5" x14ac:dyDescent="0.2">
      <c r="B71" s="17" t="s">
        <v>92</v>
      </c>
    </row>
    <row r="72" spans="2:5" x14ac:dyDescent="0.2">
      <c r="B72" s="1" t="s">
        <v>146</v>
      </c>
      <c r="C72">
        <f>'Financial Statements'!B12/'Financial Statements'!B$8*100</f>
        <v>56.690369438639912</v>
      </c>
      <c r="D72">
        <f>'Financial Statements'!C12/'Financial Statements'!C$8*100</f>
        <v>58.220640374832222</v>
      </c>
      <c r="E72">
        <f>'Financial Statements'!D12/'Financial Statements'!D$8*100</f>
        <v>61.76675227218913</v>
      </c>
    </row>
    <row r="73" spans="2:5" x14ac:dyDescent="0.2">
      <c r="B73" s="1" t="s">
        <v>89</v>
      </c>
      <c r="C73">
        <f>'Financial Statements'!B13/'Financial Statements'!B$8*100</f>
        <v>43.309630561360088</v>
      </c>
      <c r="D73">
        <f>'Financial Statements'!C13/'Financial Statements'!C$8*100</f>
        <v>41.779359625167778</v>
      </c>
      <c r="E73">
        <f>'Financial Statements'!D13/'Financial Statements'!D$8*100</f>
        <v>38.233247727810863</v>
      </c>
    </row>
    <row r="74" spans="2:5" x14ac:dyDescent="0.2">
      <c r="B74" s="1" t="s">
        <v>90</v>
      </c>
    </row>
    <row r="75" spans="2:5" x14ac:dyDescent="0.2">
      <c r="B75" s="26" t="s">
        <v>155</v>
      </c>
      <c r="C75">
        <f>'Financial Statements'!B15/'Financial Statements'!B$8*100</f>
        <v>6.6571483637986653</v>
      </c>
      <c r="D75">
        <f>'Financial Statements'!C15/'Financial Statements'!C$8*100</f>
        <v>5.9904269074427923</v>
      </c>
      <c r="E75">
        <f>'Financial Statements'!D15/'Financial Statements'!D$8*100</f>
        <v>6.8309564140393064</v>
      </c>
    </row>
    <row r="76" spans="2:5" x14ac:dyDescent="0.2">
      <c r="B76" s="26" t="s">
        <v>156</v>
      </c>
      <c r="C76">
        <f>'Financial Statements'!B16/'Financial Statements'!B$8*100</f>
        <v>6.3637378020328264</v>
      </c>
      <c r="D76">
        <f>'Financial Statements'!C16/'Financial Statements'!C$8*100</f>
        <v>6.0065551901633878</v>
      </c>
      <c r="E76">
        <f>'Financial Statements'!D16/'Financial Statements'!D$8*100</f>
        <v>7.254976959364698</v>
      </c>
    </row>
    <row r="77" spans="2:5" x14ac:dyDescent="0.2">
      <c r="B77" s="1" t="s">
        <v>14</v>
      </c>
      <c r="C77">
        <f>'Financial Statements'!B18/'Financial Statements'!B$8*100</f>
        <v>30.288744395528592</v>
      </c>
      <c r="D77">
        <f>'Financial Statements'!C18/'Financial Statements'!C$8*100</f>
        <v>29.782377527561593</v>
      </c>
      <c r="E77">
        <f>'Financial Statements'!D18/'Financial Statements'!D$8*100</f>
        <v>24.147314354406863</v>
      </c>
    </row>
    <row r="78" spans="2:5" x14ac:dyDescent="0.2">
      <c r="B78" s="1" t="s">
        <v>93</v>
      </c>
      <c r="C78">
        <f>'Financial Statements'!B22/'Financial Statements'!B$8*100</f>
        <v>25.309640705199733</v>
      </c>
      <c r="D78">
        <f>'Financial Statements'!C22/'Financial Statements'!C$8*100</f>
        <v>25.881793355694239</v>
      </c>
      <c r="E78">
        <f>'Financial Statements'!D22/'Financial Statements'!D$8*100</f>
        <v>20.913611278072235</v>
      </c>
    </row>
    <row r="79" spans="2:5" x14ac:dyDescent="0.2">
      <c r="B79" s="1"/>
    </row>
    <row r="80" spans="2:5" x14ac:dyDescent="0.2">
      <c r="B80" s="17" t="s">
        <v>98</v>
      </c>
    </row>
    <row r="81" spans="2:5" x14ac:dyDescent="0.2">
      <c r="B81" s="1" t="s">
        <v>94</v>
      </c>
      <c r="C81">
        <f>'Financial Statements'!B21/'Financial Statements'!B20*100</f>
        <v>16.204461684424405</v>
      </c>
      <c r="D81">
        <f>'Financial Statements'!C21/'Financial Statements'!C20*100</f>
        <v>13.302260844085087</v>
      </c>
      <c r="E81">
        <f>'Financial Statements'!D21/'Financial Statements'!D20*100</f>
        <v>14.428164731484102</v>
      </c>
    </row>
    <row r="82" spans="2:5" x14ac:dyDescent="0.2">
      <c r="B82" s="1" t="s">
        <v>95</v>
      </c>
      <c r="C82">
        <f>'Financial Statements'!B$96/'Financial Statements'!B8*100</f>
        <v>-2.715505873283155</v>
      </c>
      <c r="D82">
        <f>'Financial Statements'!C$96/'Financial Statements'!C8*100</f>
        <v>-3.0302036264033658</v>
      </c>
      <c r="E82">
        <f>'Financial Statements'!D$96/'Financial Statements'!D8*100</f>
        <v>-2.6625138881299746</v>
      </c>
    </row>
    <row r="83" spans="2:5" x14ac:dyDescent="0.2">
      <c r="B83" s="1" t="s">
        <v>96</v>
      </c>
      <c r="C83">
        <f>'Financial Statements'!B$96/'Financial Statements'!B45*100</f>
        <v>-25.424412944891611</v>
      </c>
      <c r="D83">
        <f>'Financial Statements'!C$96/'Financial Statements'!C45*100</f>
        <v>-28.105983772819471</v>
      </c>
      <c r="E83">
        <f>'Financial Statements'!D$96/'Financial Statements'!D45*100</f>
        <v>-19.879780231735843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dcterms:created xsi:type="dcterms:W3CDTF">2020-05-18T16:32:37Z</dcterms:created>
  <dcterms:modified xsi:type="dcterms:W3CDTF">2024-08-27T09:15:10Z</dcterms:modified>
</cp:coreProperties>
</file>